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26835" windowHeight="13350" activeTab="0"/>
  </bookViews>
  <sheets>
    <sheet name="Sheet1" sheetId="1" r:id="rId1"/>
  </sheets>
  <definedNames>
    <definedName name="A_Dev">'Sheet1'!$C$15</definedName>
    <definedName name="D_cr_add">'Sheet1'!$C$17</definedName>
    <definedName name="D_Dev_Th2">'Sheet1'!$C$16</definedName>
    <definedName name="D_TP">'Sheet1'!$C$10</definedName>
    <definedName name="dHe_th2">'Sheet1'!$C$29</definedName>
    <definedName name="dHt_th2">'Sheet1'!$C$27</definedName>
    <definedName name="dT">'Sheet1'!$C$33</definedName>
    <definedName name="H_0">'Sheet1'!$C$4</definedName>
    <definedName name="H_cr_add">'Sheet1'!$C$20</definedName>
    <definedName name="H_max">'Sheet1'!$C$6</definedName>
    <definedName name="H_min">'Sheet1'!$C$8</definedName>
    <definedName name="H1_th2">'Sheet1'!$C$25</definedName>
    <definedName name="Ta">'Sheet1'!$C$18</definedName>
    <definedName name="Tb">'Sheet1'!$C$22</definedName>
    <definedName name="Tc">'Sheet1'!$C$31</definedName>
    <definedName name="V_cr">'Sheet1'!$C$11</definedName>
    <definedName name="W_cr">'Sheet1'!$C$12</definedName>
    <definedName name="W_th1">'Sheet1'!$C$13</definedName>
    <definedName name="W_th2">'Sheet1'!$C$14</definedName>
  </definedNames>
  <calcPr fullCalcOnLoad="1"/>
</workbook>
</file>

<file path=xl/sharedStrings.xml><?xml version="1.0" encoding="utf-8"?>
<sst xmlns="http://schemas.openxmlformats.org/spreadsheetml/2006/main" count="84" uniqueCount="59">
  <si>
    <t>nm</t>
  </si>
  <si>
    <t>ft</t>
  </si>
  <si>
    <t>kts</t>
  </si>
  <si>
    <t>h</t>
  </si>
  <si>
    <t>min</t>
  </si>
  <si>
    <t>Description</t>
  </si>
  <si>
    <t>Q'ty</t>
  </si>
  <si>
    <t>Unit</t>
  </si>
  <si>
    <t>Name</t>
  </si>
  <si>
    <t xml:space="preserve">Initial Altitude </t>
  </si>
  <si>
    <t>V_cr</t>
  </si>
  <si>
    <t>W_cr</t>
  </si>
  <si>
    <t>Initial Distance to Next TP</t>
  </si>
  <si>
    <t>Cruise Speed</t>
  </si>
  <si>
    <t>Cruise Sink Rate</t>
  </si>
  <si>
    <t>W_th1</t>
  </si>
  <si>
    <t>W_th2</t>
  </si>
  <si>
    <t>Deviation Angle</t>
  </si>
  <si>
    <t>D_TP</t>
  </si>
  <si>
    <t>A_Dev</t>
  </si>
  <si>
    <t>Ta</t>
  </si>
  <si>
    <t>Additional time spent in cruise</t>
  </si>
  <si>
    <t>Additional Cruise Distance</t>
  </si>
  <si>
    <t>Deviation Distance to Thermal</t>
  </si>
  <si>
    <t>D_Dev_Th2</t>
  </si>
  <si>
    <t>D_cr_add</t>
  </si>
  <si>
    <t>Tb</t>
  </si>
  <si>
    <t>Additional altitude lost in cruise</t>
  </si>
  <si>
    <t>H_cr_add</t>
  </si>
  <si>
    <t>Additional time spent in the next climb in order to recover the altitude lost during Ta</t>
  </si>
  <si>
    <t>H1_th2</t>
  </si>
  <si>
    <t>H_0</t>
  </si>
  <si>
    <t>H_max</t>
  </si>
  <si>
    <t>Total Altitude Gain in Thermal 2</t>
  </si>
  <si>
    <t>Altitude at the start of climb in Thermal 2</t>
  </si>
  <si>
    <t>Altitude Gain in Thermal 2 after recovering additional altitude lost in cruise</t>
  </si>
  <si>
    <t>dHt_th2</t>
  </si>
  <si>
    <t>dHe_th2</t>
  </si>
  <si>
    <t>Climb Rate in Thermal 1 (Ahead)</t>
  </si>
  <si>
    <t>Climb Rate in Thermal 2 (Off Course)</t>
  </si>
  <si>
    <t>Time saved by climbing in the stronger thermal (negative), excluding Tb</t>
  </si>
  <si>
    <t>Tc</t>
  </si>
  <si>
    <t>dT</t>
  </si>
  <si>
    <t>Base</t>
  </si>
  <si>
    <t>a)</t>
  </si>
  <si>
    <t>b)</t>
  </si>
  <si>
    <t>c)</t>
  </si>
  <si>
    <t>d)</t>
  </si>
  <si>
    <t>e)</t>
  </si>
  <si>
    <t>f)</t>
  </si>
  <si>
    <t>g)</t>
  </si>
  <si>
    <t>h)</t>
  </si>
  <si>
    <t>The total time difference dT
(negative = saved time)</t>
  </si>
  <si>
    <t>°</t>
  </si>
  <si>
    <t>Maximum Altitude</t>
  </si>
  <si>
    <t>Minimum Altitude</t>
  </si>
  <si>
    <t>H_min</t>
  </si>
  <si>
    <t>Course Deviation in Order to Find Stronger Lift (No Wind)</t>
  </si>
  <si>
    <t>Simple Example, Glide Extended if Required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</si>
</sst>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2"/>
      <color rgb="FF002060"/>
      <name val="Calibri"/>
      <family val="2"/>
    </font>
    <font>
      <b/>
      <sz val="15"/>
      <color theme="3"/>
      <name val="Calibri"/>
      <family val="2"/>
    </font>
    <font>
      <b/>
      <sz val="11"/>
      <color theme="3" tint="-0.4999699890613556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theme="9" tint="0.399949997663497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/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Border="0" applyAlignment="0">
      <protection/>
    </xf>
    <xf numFmtId="0" fontId="29" fillId="0" borderId="3" applyNumberFormat="0" applyFill="0" applyAlignment="0" applyProtection="0"/>
    <xf numFmtId="0" fontId="30" fillId="0" borderId="4" applyNumberFormat="0" applyFill="0" applyBorder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9" applyNumberFormat="0">
      <alignment/>
      <protection/>
    </xf>
    <xf numFmtId="44" fontId="5" fillId="33" borderId="10" applyNumberFormat="0" applyFont="0" applyBorder="0">
      <alignment vertical="top"/>
      <protection/>
    </xf>
    <xf numFmtId="0" fontId="5" fillId="0" borderId="11" applyNumberFormat="0" applyFont="0" applyBorder="0">
      <alignment vertical="top"/>
      <protection/>
    </xf>
    <xf numFmtId="0" fontId="7" fillId="34" borderId="0" applyNumberFormat="0" applyBorder="0" applyAlignment="0">
      <protection/>
    </xf>
    <xf numFmtId="0" fontId="5" fillId="35" borderId="11" applyNumberFormat="0" applyFont="0" applyBorder="0">
      <alignment vertical="top"/>
      <protection locked="0"/>
    </xf>
    <xf numFmtId="44" fontId="5" fillId="5" borderId="10" applyNumberFormat="0" applyFont="0" applyBorder="0">
      <alignment vertical="top"/>
      <protection/>
    </xf>
    <xf numFmtId="0" fontId="5" fillId="4" borderId="10" applyNumberFormat="0" applyFont="0" applyBorder="0">
      <alignment vertical="top"/>
      <protection locked="0"/>
    </xf>
    <xf numFmtId="44" fontId="5" fillId="36" borderId="10" applyNumberFormat="0" applyFont="0" applyBorder="0">
      <alignment vertical="top"/>
      <protection/>
    </xf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7" fillId="34" borderId="11" xfId="63" applyBorder="1" applyAlignment="1">
      <alignment/>
      <protection/>
    </xf>
    <xf numFmtId="0" fontId="28" fillId="0" borderId="0" xfId="48" applyBorder="1" applyAlignment="1">
      <alignment/>
      <protection/>
    </xf>
    <xf numFmtId="0" fontId="0" fillId="0" borderId="13" xfId="62" applyFont="1" applyBorder="1">
      <alignment vertical="top"/>
      <protection/>
    </xf>
    <xf numFmtId="0" fontId="0" fillId="0" borderId="14" xfId="62" applyFont="1" applyBorder="1">
      <alignment vertical="top"/>
      <protection/>
    </xf>
    <xf numFmtId="0" fontId="0" fillId="35" borderId="14" xfId="64" applyFont="1" applyBorder="1">
      <alignment vertical="top"/>
      <protection locked="0"/>
    </xf>
    <xf numFmtId="1" fontId="0" fillId="33" borderId="14" xfId="61" applyNumberFormat="1" applyFont="1" applyBorder="1">
      <alignment vertical="top"/>
      <protection/>
    </xf>
    <xf numFmtId="0" fontId="0" fillId="33" borderId="14" xfId="61" applyNumberFormat="1" applyFont="1" applyBorder="1">
      <alignment vertical="top"/>
      <protection/>
    </xf>
    <xf numFmtId="0" fontId="0" fillId="0" borderId="15" xfId="62" applyFont="1" applyBorder="1">
      <alignment vertical="top"/>
      <protection/>
    </xf>
    <xf numFmtId="0" fontId="0" fillId="33" borderId="15" xfId="61" applyNumberFormat="1" applyFont="1" applyBorder="1">
      <alignment vertical="top"/>
      <protection/>
    </xf>
    <xf numFmtId="0" fontId="0" fillId="0" borderId="16" xfId="62" applyFont="1" applyBorder="1">
      <alignment vertical="top"/>
      <protection/>
    </xf>
    <xf numFmtId="0" fontId="37" fillId="0" borderId="15" xfId="62" applyFont="1" applyBorder="1">
      <alignment vertical="top"/>
      <protection/>
    </xf>
    <xf numFmtId="0" fontId="37" fillId="33" borderId="15" xfId="61" applyNumberFormat="1" applyFont="1" applyBorder="1">
      <alignment vertical="top"/>
      <protection/>
    </xf>
    <xf numFmtId="0" fontId="37" fillId="33" borderId="14" xfId="61" applyNumberFormat="1" applyFont="1" applyBorder="1">
      <alignment vertical="top"/>
      <protection/>
    </xf>
    <xf numFmtId="0" fontId="37" fillId="0" borderId="14" xfId="62" applyFont="1" applyBorder="1">
      <alignment vertical="top"/>
      <protection/>
    </xf>
    <xf numFmtId="0" fontId="0" fillId="35" borderId="14" xfId="64" applyNumberFormat="1" applyFont="1" applyBorder="1">
      <alignment vertical="top"/>
      <protection locked="0"/>
    </xf>
    <xf numFmtId="0" fontId="37" fillId="0" borderId="17" xfId="62" applyFont="1" applyBorder="1">
      <alignment vertical="top"/>
      <protection/>
    </xf>
    <xf numFmtId="0" fontId="0" fillId="0" borderId="17" xfId="62" applyFont="1" applyBorder="1">
      <alignment vertical="top"/>
      <protection/>
    </xf>
    <xf numFmtId="0" fontId="7" fillId="34" borderId="11" xfId="63" applyBorder="1" applyAlignment="1">
      <alignment horizontal="center"/>
      <protection/>
    </xf>
    <xf numFmtId="0" fontId="0" fillId="0" borderId="14" xfId="62" applyFont="1" applyBorder="1" applyAlignment="1">
      <alignment vertical="center" wrapText="1"/>
      <protection/>
    </xf>
    <xf numFmtId="3" fontId="0" fillId="33" borderId="14" xfId="61" applyNumberFormat="1" applyFont="1" applyBorder="1">
      <alignment vertical="top"/>
      <protection/>
    </xf>
    <xf numFmtId="164" fontId="39" fillId="33" borderId="17" xfId="61" applyNumberFormat="1" applyFont="1" applyBorder="1">
      <alignment vertical="top"/>
      <protection/>
    </xf>
    <xf numFmtId="0" fontId="37" fillId="0" borderId="15" xfId="62" applyFont="1" applyBorder="1" applyAlignment="1">
      <alignment vertical="center" wrapText="1"/>
      <protection/>
    </xf>
    <xf numFmtId="0" fontId="37" fillId="0" borderId="16" xfId="62" applyFont="1" applyBorder="1" applyAlignment="1">
      <alignment vertical="center" wrapText="1"/>
      <protection/>
    </xf>
    <xf numFmtId="0" fontId="37" fillId="0" borderId="10" xfId="62" applyFont="1" applyBorder="1" applyAlignment="1">
      <alignment vertical="center" wrapText="1"/>
      <protection/>
    </xf>
    <xf numFmtId="0" fontId="0" fillId="0" borderId="18" xfId="62" applyFont="1" applyBorder="1" applyAlignment="1">
      <alignment vertical="center" wrapText="1"/>
      <protection/>
    </xf>
    <xf numFmtId="0" fontId="0" fillId="0" borderId="16" xfId="62" applyFont="1" applyBorder="1" applyAlignment="1">
      <alignment vertical="center" wrapText="1"/>
      <protection/>
    </xf>
    <xf numFmtId="0" fontId="0" fillId="0" borderId="15" xfId="62" applyFont="1" applyBorder="1" applyAlignment="1">
      <alignment vertical="center" wrapText="1"/>
      <protection/>
    </xf>
    <xf numFmtId="0" fontId="0" fillId="0" borderId="19" xfId="62" applyFont="1" applyBorder="1" applyAlignment="1">
      <alignment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FD_1" xfId="60"/>
    <cellStyle name="TableCalc" xfId="61"/>
    <cellStyle name="TableConst" xfId="62"/>
    <cellStyle name="TableHeader" xfId="63"/>
    <cellStyle name="TableInput" xfId="64"/>
    <cellStyle name="TableInputCopy" xfId="65"/>
    <cellStyle name="TableSelect" xfId="66"/>
    <cellStyle name="TableSolve" xfId="67"/>
    <cellStyle name="Title" xfId="68"/>
    <cellStyle name="Total" xfId="69"/>
    <cellStyle name="Warning Text" xfId="70"/>
  </cellStyles>
  <dxfs count="9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="115" zoomScaleNormal="115" zoomScalePageLayoutView="0" workbookViewId="0" topLeftCell="A1">
      <pane ySplit="3" topLeftCell="A4" activePane="bottomLeft" state="frozen"/>
      <selection pane="topLeft" activeCell="A1" sqref="A1"/>
      <selection pane="bottomLeft" activeCell="A4" sqref="A4:A5"/>
    </sheetView>
  </sheetViews>
  <sheetFormatPr defaultColWidth="9.140625" defaultRowHeight="15"/>
  <cols>
    <col min="1" max="1" width="40.00390625" style="0" customWidth="1"/>
    <col min="2" max="2" width="11.28125" style="0" customWidth="1"/>
    <col min="3" max="3" width="11.140625" style="0" bestFit="1" customWidth="1"/>
    <col min="17" max="17" width="9.140625" style="0" customWidth="1"/>
  </cols>
  <sheetData>
    <row r="1" ht="15.75">
      <c r="A1" s="2" t="s">
        <v>57</v>
      </c>
    </row>
    <row r="2" ht="15.75">
      <c r="A2" s="2" t="s">
        <v>58</v>
      </c>
    </row>
    <row r="3" spans="1:14" ht="15">
      <c r="A3" s="1" t="s">
        <v>5</v>
      </c>
      <c r="B3" s="18" t="s">
        <v>8</v>
      </c>
      <c r="C3" s="18" t="s">
        <v>6</v>
      </c>
      <c r="D3" s="18" t="s">
        <v>7</v>
      </c>
      <c r="F3" s="18" t="s">
        <v>43</v>
      </c>
      <c r="G3" s="18" t="s">
        <v>44</v>
      </c>
      <c r="H3" s="18" t="s">
        <v>45</v>
      </c>
      <c r="I3" s="18" t="s">
        <v>46</v>
      </c>
      <c r="J3" s="18" t="s">
        <v>47</v>
      </c>
      <c r="K3" s="18" t="s">
        <v>48</v>
      </c>
      <c r="L3" s="18" t="s">
        <v>49</v>
      </c>
      <c r="M3" s="18" t="s">
        <v>50</v>
      </c>
      <c r="N3" s="18" t="s">
        <v>51</v>
      </c>
    </row>
    <row r="4" spans="1:14" ht="15">
      <c r="A4" s="25" t="s">
        <v>9</v>
      </c>
      <c r="B4" s="3" t="s">
        <v>31</v>
      </c>
      <c r="C4" s="5">
        <v>0.5</v>
      </c>
      <c r="D4" s="4" t="s">
        <v>0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</row>
    <row r="5" spans="1:14" ht="15">
      <c r="A5" s="26"/>
      <c r="B5" s="10"/>
      <c r="C5" s="20">
        <f>H_0*6076.11549</f>
        <v>3038.057745</v>
      </c>
      <c r="D5" s="4" t="s">
        <v>1</v>
      </c>
      <c r="F5" s="20">
        <f>F4*6076.11549</f>
        <v>3038.057745</v>
      </c>
      <c r="G5" s="20">
        <f aca="true" t="shared" si="0" ref="G5:N5">G4*6076.11549</f>
        <v>3038.057745</v>
      </c>
      <c r="H5" s="20">
        <f t="shared" si="0"/>
        <v>3038.057745</v>
      </c>
      <c r="I5" s="20">
        <f t="shared" si="0"/>
        <v>3038.057745</v>
      </c>
      <c r="J5" s="20">
        <f t="shared" si="0"/>
        <v>3038.057745</v>
      </c>
      <c r="K5" s="20">
        <f t="shared" si="0"/>
        <v>3038.057745</v>
      </c>
      <c r="L5" s="20">
        <f t="shared" si="0"/>
        <v>3038.057745</v>
      </c>
      <c r="M5" s="20">
        <f t="shared" si="0"/>
        <v>3038.057745</v>
      </c>
      <c r="N5" s="20">
        <f t="shared" si="0"/>
        <v>3038.057745</v>
      </c>
    </row>
    <row r="6" spans="1:14" ht="15">
      <c r="A6" s="27" t="s">
        <v>54</v>
      </c>
      <c r="B6" s="4" t="s">
        <v>32</v>
      </c>
      <c r="C6" s="5">
        <v>1.5</v>
      </c>
      <c r="D6" s="4" t="s">
        <v>0</v>
      </c>
      <c r="F6" s="5">
        <v>1.5</v>
      </c>
      <c r="G6" s="5">
        <v>1.5</v>
      </c>
      <c r="H6" s="5">
        <v>1.5</v>
      </c>
      <c r="I6" s="5">
        <v>1.5</v>
      </c>
      <c r="J6" s="5">
        <v>1.5</v>
      </c>
      <c r="K6" s="5">
        <v>1.5</v>
      </c>
      <c r="L6" s="5">
        <v>1.5</v>
      </c>
      <c r="M6" s="5">
        <v>1</v>
      </c>
      <c r="N6" s="5">
        <v>0.75</v>
      </c>
    </row>
    <row r="7" spans="1:14" ht="15">
      <c r="A7" s="26"/>
      <c r="B7" s="4"/>
      <c r="C7" s="20">
        <f>H_max*6076.11549</f>
        <v>9114.173235</v>
      </c>
      <c r="D7" s="4" t="s">
        <v>1</v>
      </c>
      <c r="F7" s="20">
        <f>F6*6076.11549</f>
        <v>9114.173235</v>
      </c>
      <c r="G7" s="20">
        <f aca="true" t="shared" si="1" ref="G7:N7">G6*6076.11549</f>
        <v>9114.173235</v>
      </c>
      <c r="H7" s="20">
        <f t="shared" si="1"/>
        <v>9114.173235</v>
      </c>
      <c r="I7" s="20">
        <f t="shared" si="1"/>
        <v>9114.173235</v>
      </c>
      <c r="J7" s="20">
        <f t="shared" si="1"/>
        <v>9114.173235</v>
      </c>
      <c r="K7" s="20">
        <f t="shared" si="1"/>
        <v>9114.173235</v>
      </c>
      <c r="L7" s="20">
        <f t="shared" si="1"/>
        <v>9114.173235</v>
      </c>
      <c r="M7" s="20">
        <f t="shared" si="1"/>
        <v>6076.11549</v>
      </c>
      <c r="N7" s="20">
        <f t="shared" si="1"/>
        <v>4557.0866175</v>
      </c>
    </row>
    <row r="8" spans="1:14" ht="15">
      <c r="A8" s="27" t="s">
        <v>55</v>
      </c>
      <c r="B8" s="4" t="s">
        <v>56</v>
      </c>
      <c r="C8" s="5">
        <v>0.3</v>
      </c>
      <c r="D8" s="4" t="s">
        <v>0</v>
      </c>
      <c r="F8" s="5">
        <v>0.3</v>
      </c>
      <c r="G8" s="5">
        <v>0.3</v>
      </c>
      <c r="H8" s="5">
        <v>0.3</v>
      </c>
      <c r="I8" s="5">
        <v>0.3</v>
      </c>
      <c r="J8" s="5">
        <v>0.3</v>
      </c>
      <c r="K8" s="5">
        <v>0.3</v>
      </c>
      <c r="L8" s="5">
        <v>0.3</v>
      </c>
      <c r="M8" s="5">
        <v>0.3</v>
      </c>
      <c r="N8" s="5">
        <v>0.3</v>
      </c>
    </row>
    <row r="9" spans="1:14" ht="15">
      <c r="A9" s="26"/>
      <c r="B9" s="4"/>
      <c r="C9" s="20">
        <f>H_min*6076.11549</f>
        <v>1822.834647</v>
      </c>
      <c r="D9" s="4" t="s">
        <v>1</v>
      </c>
      <c r="F9" s="20">
        <f>F8*6076.11549</f>
        <v>1822.834647</v>
      </c>
      <c r="G9" s="20">
        <f aca="true" t="shared" si="2" ref="G9:N9">G8*6076.11549</f>
        <v>1822.834647</v>
      </c>
      <c r="H9" s="20">
        <f t="shared" si="2"/>
        <v>1822.834647</v>
      </c>
      <c r="I9" s="20">
        <f t="shared" si="2"/>
        <v>1822.834647</v>
      </c>
      <c r="J9" s="20">
        <f t="shared" si="2"/>
        <v>1822.834647</v>
      </c>
      <c r="K9" s="20">
        <f t="shared" si="2"/>
        <v>1822.834647</v>
      </c>
      <c r="L9" s="20">
        <f t="shared" si="2"/>
        <v>1822.834647</v>
      </c>
      <c r="M9" s="20">
        <f t="shared" si="2"/>
        <v>1822.834647</v>
      </c>
      <c r="N9" s="20">
        <f t="shared" si="2"/>
        <v>1822.834647</v>
      </c>
    </row>
    <row r="10" spans="1:14" ht="15">
      <c r="A10" s="19" t="s">
        <v>12</v>
      </c>
      <c r="B10" s="4" t="s">
        <v>18</v>
      </c>
      <c r="C10" s="15">
        <v>99999999999999</v>
      </c>
      <c r="D10" s="4" t="s">
        <v>0</v>
      </c>
      <c r="F10" s="15">
        <v>99999999999999</v>
      </c>
      <c r="G10" s="15">
        <v>9.6</v>
      </c>
      <c r="H10" s="15">
        <v>99999999999999</v>
      </c>
      <c r="I10" s="15">
        <v>99999999999999</v>
      </c>
      <c r="J10" s="15">
        <v>99999999999999</v>
      </c>
      <c r="K10" s="15">
        <v>99999999999999</v>
      </c>
      <c r="L10" s="15">
        <v>99999999999999</v>
      </c>
      <c r="M10" s="15">
        <v>99999999999999</v>
      </c>
      <c r="N10" s="15">
        <v>99999999999999</v>
      </c>
    </row>
    <row r="11" spans="1:14" ht="15">
      <c r="A11" s="19" t="s">
        <v>13</v>
      </c>
      <c r="B11" s="4" t="s">
        <v>10</v>
      </c>
      <c r="C11" s="5">
        <v>80</v>
      </c>
      <c r="D11" s="4" t="s">
        <v>2</v>
      </c>
      <c r="F11" s="5">
        <v>80</v>
      </c>
      <c r="G11" s="5">
        <v>80</v>
      </c>
      <c r="H11" s="5">
        <v>80</v>
      </c>
      <c r="I11" s="5">
        <v>80</v>
      </c>
      <c r="J11" s="5">
        <v>80</v>
      </c>
      <c r="K11" s="5">
        <v>80</v>
      </c>
      <c r="L11" s="5">
        <v>80</v>
      </c>
      <c r="M11" s="5">
        <v>80</v>
      </c>
      <c r="N11" s="5">
        <v>80</v>
      </c>
    </row>
    <row r="12" spans="1:14" ht="15">
      <c r="A12" s="19" t="s">
        <v>14</v>
      </c>
      <c r="B12" s="4" t="s">
        <v>11</v>
      </c>
      <c r="C12" s="5">
        <v>2</v>
      </c>
      <c r="D12" s="4" t="s">
        <v>2</v>
      </c>
      <c r="F12" s="5">
        <v>2</v>
      </c>
      <c r="G12" s="5">
        <v>2</v>
      </c>
      <c r="H12" s="5">
        <v>2</v>
      </c>
      <c r="I12" s="5">
        <v>2</v>
      </c>
      <c r="J12" s="5">
        <v>2</v>
      </c>
      <c r="K12" s="5">
        <v>2</v>
      </c>
      <c r="L12" s="5">
        <v>2</v>
      </c>
      <c r="M12" s="5">
        <v>2</v>
      </c>
      <c r="N12" s="5">
        <v>2</v>
      </c>
    </row>
    <row r="13" spans="1:14" ht="15">
      <c r="A13" s="19" t="s">
        <v>38</v>
      </c>
      <c r="B13" s="4" t="s">
        <v>15</v>
      </c>
      <c r="C13" s="5">
        <v>3</v>
      </c>
      <c r="D13" s="4" t="s">
        <v>2</v>
      </c>
      <c r="F13" s="5">
        <v>3</v>
      </c>
      <c r="G13" s="5">
        <v>3</v>
      </c>
      <c r="H13" s="5">
        <v>3</v>
      </c>
      <c r="I13" s="5">
        <v>3</v>
      </c>
      <c r="J13" s="5">
        <v>3</v>
      </c>
      <c r="K13" s="5">
        <v>3</v>
      </c>
      <c r="L13" s="5">
        <v>3</v>
      </c>
      <c r="M13" s="5">
        <v>3</v>
      </c>
      <c r="N13" s="5">
        <v>3</v>
      </c>
    </row>
    <row r="14" spans="1:14" ht="15">
      <c r="A14" s="19" t="s">
        <v>39</v>
      </c>
      <c r="B14" s="4" t="s">
        <v>16</v>
      </c>
      <c r="C14" s="5">
        <v>5</v>
      </c>
      <c r="D14" s="4" t="s">
        <v>2</v>
      </c>
      <c r="F14" s="5">
        <v>5</v>
      </c>
      <c r="G14" s="5">
        <v>5</v>
      </c>
      <c r="H14" s="5">
        <v>5</v>
      </c>
      <c r="I14" s="5">
        <v>5</v>
      </c>
      <c r="J14" s="5">
        <v>5</v>
      </c>
      <c r="K14" s="5">
        <v>5</v>
      </c>
      <c r="L14" s="5">
        <v>4</v>
      </c>
      <c r="M14" s="5">
        <v>5</v>
      </c>
      <c r="N14" s="5">
        <v>5</v>
      </c>
    </row>
    <row r="15" spans="1:14" ht="15">
      <c r="A15" s="19" t="s">
        <v>17</v>
      </c>
      <c r="B15" s="4" t="s">
        <v>19</v>
      </c>
      <c r="C15" s="5">
        <v>90</v>
      </c>
      <c r="D15" s="4" t="s">
        <v>53</v>
      </c>
      <c r="F15" s="5">
        <v>90</v>
      </c>
      <c r="G15" s="5">
        <v>90</v>
      </c>
      <c r="H15" s="5">
        <v>90</v>
      </c>
      <c r="I15" s="5">
        <v>60</v>
      </c>
      <c r="J15" s="5">
        <v>120</v>
      </c>
      <c r="K15" s="5">
        <v>180</v>
      </c>
      <c r="L15" s="5">
        <v>90</v>
      </c>
      <c r="M15" s="5">
        <v>90</v>
      </c>
      <c r="N15" s="5">
        <v>90</v>
      </c>
    </row>
    <row r="16" spans="1:14" ht="15">
      <c r="A16" s="19" t="s">
        <v>23</v>
      </c>
      <c r="B16" s="4" t="s">
        <v>24</v>
      </c>
      <c r="C16" s="5">
        <v>4</v>
      </c>
      <c r="D16" s="4" t="s">
        <v>0</v>
      </c>
      <c r="F16" s="5">
        <v>4</v>
      </c>
      <c r="G16" s="5">
        <v>4</v>
      </c>
      <c r="H16" s="5">
        <v>6</v>
      </c>
      <c r="I16" s="5">
        <v>4</v>
      </c>
      <c r="J16" s="5">
        <v>4</v>
      </c>
      <c r="K16" s="5">
        <v>1.83</v>
      </c>
      <c r="L16" s="5">
        <v>4</v>
      </c>
      <c r="M16" s="5">
        <v>4</v>
      </c>
      <c r="N16" s="5">
        <v>4</v>
      </c>
    </row>
    <row r="17" spans="1:14" ht="15">
      <c r="A17" s="19" t="s">
        <v>22</v>
      </c>
      <c r="B17" s="4" t="s">
        <v>25</v>
      </c>
      <c r="C17" s="7">
        <f>D_Dev_Th2+SQRT((D_Dev_Th2*SIN(RADIANS(A_Dev)))^2+(D_TP-D_Dev_Th2*COS(RADIANS(A_Dev)))^2)-D_TP</f>
        <v>4</v>
      </c>
      <c r="D17" s="4" t="s">
        <v>0</v>
      </c>
      <c r="F17" s="7">
        <f aca="true" t="shared" si="3" ref="F17:N17">F16+SQRT((F16*SIN(RADIANS(F15)))^2+(F10-F16*COS(RADIANS(F15)))^2)-F10</f>
        <v>4</v>
      </c>
      <c r="G17" s="7">
        <f t="shared" si="3"/>
        <v>4.800000000000001</v>
      </c>
      <c r="H17" s="7">
        <f t="shared" si="3"/>
        <v>6</v>
      </c>
      <c r="I17" s="7">
        <f t="shared" si="3"/>
        <v>2</v>
      </c>
      <c r="J17" s="7">
        <f t="shared" si="3"/>
        <v>6</v>
      </c>
      <c r="K17" s="7">
        <f t="shared" si="3"/>
        <v>3.65625</v>
      </c>
      <c r="L17" s="7">
        <f t="shared" si="3"/>
        <v>4</v>
      </c>
      <c r="M17" s="7">
        <f t="shared" si="3"/>
        <v>4</v>
      </c>
      <c r="N17" s="7">
        <f t="shared" si="3"/>
        <v>4</v>
      </c>
    </row>
    <row r="18" spans="1:14" ht="15">
      <c r="A18" s="22" t="s">
        <v>21</v>
      </c>
      <c r="B18" s="14" t="s">
        <v>20</v>
      </c>
      <c r="C18" s="13">
        <f>D_cr_add/V_cr</f>
        <v>0.05</v>
      </c>
      <c r="D18" s="14" t="s">
        <v>3</v>
      </c>
      <c r="F18" s="13">
        <f aca="true" t="shared" si="4" ref="F18:N18">F17/F11</f>
        <v>0.05</v>
      </c>
      <c r="G18" s="13">
        <f t="shared" si="4"/>
        <v>0.06000000000000001</v>
      </c>
      <c r="H18" s="13">
        <f t="shared" si="4"/>
        <v>0.075</v>
      </c>
      <c r="I18" s="13">
        <f t="shared" si="4"/>
        <v>0.025</v>
      </c>
      <c r="J18" s="13">
        <f t="shared" si="4"/>
        <v>0.075</v>
      </c>
      <c r="K18" s="13">
        <f t="shared" si="4"/>
        <v>0.045703125</v>
      </c>
      <c r="L18" s="13">
        <f t="shared" si="4"/>
        <v>0.05</v>
      </c>
      <c r="M18" s="13">
        <f t="shared" si="4"/>
        <v>0.05</v>
      </c>
      <c r="N18" s="13">
        <f t="shared" si="4"/>
        <v>0.05</v>
      </c>
    </row>
    <row r="19" spans="1:14" ht="15">
      <c r="A19" s="23"/>
      <c r="B19" s="4"/>
      <c r="C19" s="7">
        <f>Ta*60</f>
        <v>3</v>
      </c>
      <c r="D19" s="4" t="s">
        <v>4</v>
      </c>
      <c r="F19" s="7">
        <f>F18*60</f>
        <v>3</v>
      </c>
      <c r="G19" s="7">
        <f aca="true" t="shared" si="5" ref="G19:N19">G18*60</f>
        <v>3.6000000000000005</v>
      </c>
      <c r="H19" s="7">
        <f t="shared" si="5"/>
        <v>4.5</v>
      </c>
      <c r="I19" s="7">
        <f t="shared" si="5"/>
        <v>1.5</v>
      </c>
      <c r="J19" s="7">
        <f t="shared" si="5"/>
        <v>4.5</v>
      </c>
      <c r="K19" s="7">
        <f t="shared" si="5"/>
        <v>2.7421875</v>
      </c>
      <c r="L19" s="7">
        <f t="shared" si="5"/>
        <v>3</v>
      </c>
      <c r="M19" s="7">
        <f t="shared" si="5"/>
        <v>3</v>
      </c>
      <c r="N19" s="7">
        <f t="shared" si="5"/>
        <v>3</v>
      </c>
    </row>
    <row r="20" spans="1:14" ht="15">
      <c r="A20" s="27" t="s">
        <v>27</v>
      </c>
      <c r="B20" s="4" t="s">
        <v>28</v>
      </c>
      <c r="C20" s="7">
        <f>W_cr*Ta</f>
        <v>0.1</v>
      </c>
      <c r="D20" s="4" t="s">
        <v>0</v>
      </c>
      <c r="F20" s="7">
        <f aca="true" t="shared" si="6" ref="F20:N20">F12*F18</f>
        <v>0.1</v>
      </c>
      <c r="G20" s="7">
        <f t="shared" si="6"/>
        <v>0.12000000000000002</v>
      </c>
      <c r="H20" s="7">
        <f t="shared" si="6"/>
        <v>0.15</v>
      </c>
      <c r="I20" s="7">
        <f t="shared" si="6"/>
        <v>0.05</v>
      </c>
      <c r="J20" s="7">
        <f t="shared" si="6"/>
        <v>0.15</v>
      </c>
      <c r="K20" s="7">
        <f t="shared" si="6"/>
        <v>0.09140625</v>
      </c>
      <c r="L20" s="7">
        <f t="shared" si="6"/>
        <v>0.1</v>
      </c>
      <c r="M20" s="7">
        <f t="shared" si="6"/>
        <v>0.1</v>
      </c>
      <c r="N20" s="7">
        <f t="shared" si="6"/>
        <v>0.1</v>
      </c>
    </row>
    <row r="21" spans="1:14" ht="15">
      <c r="A21" s="26"/>
      <c r="B21" s="4"/>
      <c r="C21" s="6">
        <f>H_cr_add*6076.11549</f>
        <v>607.6115490000001</v>
      </c>
      <c r="D21" s="4" t="s">
        <v>1</v>
      </c>
      <c r="F21" s="6">
        <f>F20*6076.11549</f>
        <v>607.6115490000001</v>
      </c>
      <c r="G21" s="6">
        <f aca="true" t="shared" si="7" ref="G21:N21">G20*6076.11549</f>
        <v>729.1338588000002</v>
      </c>
      <c r="H21" s="6">
        <f t="shared" si="7"/>
        <v>911.4173235</v>
      </c>
      <c r="I21" s="6">
        <f t="shared" si="7"/>
        <v>303.80577450000004</v>
      </c>
      <c r="J21" s="6">
        <f t="shared" si="7"/>
        <v>911.4173235</v>
      </c>
      <c r="K21" s="6">
        <f t="shared" si="7"/>
        <v>555.3949315078124</v>
      </c>
      <c r="L21" s="6">
        <f t="shared" si="7"/>
        <v>607.6115490000001</v>
      </c>
      <c r="M21" s="6">
        <f t="shared" si="7"/>
        <v>607.6115490000001</v>
      </c>
      <c r="N21" s="6">
        <f t="shared" si="7"/>
        <v>607.6115490000001</v>
      </c>
    </row>
    <row r="22" spans="1:14" ht="15">
      <c r="A22" s="22" t="s">
        <v>29</v>
      </c>
      <c r="B22" s="14" t="s">
        <v>26</v>
      </c>
      <c r="C22" s="13">
        <f>H_cr_add/W_th2</f>
        <v>0.02</v>
      </c>
      <c r="D22" s="14" t="s">
        <v>3</v>
      </c>
      <c r="F22" s="13">
        <f aca="true" t="shared" si="8" ref="F22:N22">F20/F14</f>
        <v>0.02</v>
      </c>
      <c r="G22" s="13">
        <f t="shared" si="8"/>
        <v>0.024000000000000004</v>
      </c>
      <c r="H22" s="13">
        <f t="shared" si="8"/>
        <v>0.03</v>
      </c>
      <c r="I22" s="13">
        <f t="shared" si="8"/>
        <v>0.01</v>
      </c>
      <c r="J22" s="13">
        <f t="shared" si="8"/>
        <v>0.03</v>
      </c>
      <c r="K22" s="13">
        <f t="shared" si="8"/>
        <v>0.01828125</v>
      </c>
      <c r="L22" s="13">
        <f t="shared" si="8"/>
        <v>0.025</v>
      </c>
      <c r="M22" s="13">
        <f t="shared" si="8"/>
        <v>0.02</v>
      </c>
      <c r="N22" s="13">
        <f t="shared" si="8"/>
        <v>0.02</v>
      </c>
    </row>
    <row r="23" spans="1:14" ht="15">
      <c r="A23" s="23"/>
      <c r="B23" s="8"/>
      <c r="C23" s="7">
        <f>Tb*60</f>
        <v>1.2</v>
      </c>
      <c r="D23" s="4" t="s">
        <v>4</v>
      </c>
      <c r="F23" s="7">
        <f>F22*60</f>
        <v>1.2</v>
      </c>
      <c r="G23" s="7">
        <f aca="true" t="shared" si="9" ref="G23:N23">G22*60</f>
        <v>1.4400000000000002</v>
      </c>
      <c r="H23" s="7">
        <f t="shared" si="9"/>
        <v>1.7999999999999998</v>
      </c>
      <c r="I23" s="7">
        <f t="shared" si="9"/>
        <v>0.6</v>
      </c>
      <c r="J23" s="7">
        <f t="shared" si="9"/>
        <v>1.7999999999999998</v>
      </c>
      <c r="K23" s="7">
        <f t="shared" si="9"/>
        <v>1.0968749999999998</v>
      </c>
      <c r="L23" s="7">
        <f t="shared" si="9"/>
        <v>1.5</v>
      </c>
      <c r="M23" s="7">
        <f t="shared" si="9"/>
        <v>1.2</v>
      </c>
      <c r="N23" s="7">
        <f t="shared" si="9"/>
        <v>1.2</v>
      </c>
    </row>
    <row r="24" spans="1:14" ht="15">
      <c r="A24" s="27" t="s">
        <v>34</v>
      </c>
      <c r="B24" s="8"/>
      <c r="C24" s="9">
        <f>H_0-(D_Dev_Th2/V_cr)*W_cr</f>
        <v>0.4</v>
      </c>
      <c r="D24" s="8" t="s">
        <v>0</v>
      </c>
      <c r="F24" s="9">
        <f aca="true" t="shared" si="10" ref="F24:N24">F4-(F16/F11)*F12</f>
        <v>0.4</v>
      </c>
      <c r="G24" s="9">
        <f t="shared" si="10"/>
        <v>0.4</v>
      </c>
      <c r="H24" s="9">
        <f t="shared" si="10"/>
        <v>0.35</v>
      </c>
      <c r="I24" s="9">
        <f t="shared" si="10"/>
        <v>0.4</v>
      </c>
      <c r="J24" s="9">
        <f t="shared" si="10"/>
        <v>0.4</v>
      </c>
      <c r="K24" s="9">
        <f t="shared" si="10"/>
        <v>0.45425</v>
      </c>
      <c r="L24" s="9">
        <f t="shared" si="10"/>
        <v>0.4</v>
      </c>
      <c r="M24" s="9">
        <f t="shared" si="10"/>
        <v>0.4</v>
      </c>
      <c r="N24" s="9">
        <f t="shared" si="10"/>
        <v>0.4</v>
      </c>
    </row>
    <row r="25" spans="1:14" ht="30" customHeight="1">
      <c r="A25" s="28"/>
      <c r="B25" s="8" t="s">
        <v>30</v>
      </c>
      <c r="C25" s="9">
        <f>MAX(H_0-(D_Dev_Th2/V_cr)*W_cr,H_min)</f>
        <v>0.4</v>
      </c>
      <c r="D25" s="8" t="s">
        <v>0</v>
      </c>
      <c r="F25" s="9">
        <f aca="true" t="shared" si="11" ref="F25:N25">MAX(F4-(F16/F11)*F12,F8)</f>
        <v>0.4</v>
      </c>
      <c r="G25" s="9">
        <f t="shared" si="11"/>
        <v>0.4</v>
      </c>
      <c r="H25" s="9">
        <f t="shared" si="11"/>
        <v>0.35</v>
      </c>
      <c r="I25" s="9">
        <f t="shared" si="11"/>
        <v>0.4</v>
      </c>
      <c r="J25" s="9">
        <f t="shared" si="11"/>
        <v>0.4</v>
      </c>
      <c r="K25" s="9">
        <f t="shared" si="11"/>
        <v>0.45425</v>
      </c>
      <c r="L25" s="9">
        <f t="shared" si="11"/>
        <v>0.4</v>
      </c>
      <c r="M25" s="9">
        <f t="shared" si="11"/>
        <v>0.4</v>
      </c>
      <c r="N25" s="9">
        <f t="shared" si="11"/>
        <v>0.4</v>
      </c>
    </row>
    <row r="26" spans="1:14" ht="15">
      <c r="A26" s="26"/>
      <c r="B26" s="8"/>
      <c r="C26" s="20">
        <f>H1_th2*6076.11549</f>
        <v>2430.4461960000003</v>
      </c>
      <c r="D26" s="4" t="s">
        <v>1</v>
      </c>
      <c r="F26" s="20">
        <f>F25*6076.11549</f>
        <v>2430.4461960000003</v>
      </c>
      <c r="G26" s="20">
        <f aca="true" t="shared" si="12" ref="G26:N26">G25*6076.11549</f>
        <v>2430.4461960000003</v>
      </c>
      <c r="H26" s="20">
        <f t="shared" si="12"/>
        <v>2126.6404215</v>
      </c>
      <c r="I26" s="20">
        <f t="shared" si="12"/>
        <v>2430.4461960000003</v>
      </c>
      <c r="J26" s="20">
        <f t="shared" si="12"/>
        <v>2430.4461960000003</v>
      </c>
      <c r="K26" s="20">
        <f t="shared" si="12"/>
        <v>2760.0754613325</v>
      </c>
      <c r="L26" s="20">
        <f t="shared" si="12"/>
        <v>2430.4461960000003</v>
      </c>
      <c r="M26" s="20">
        <f t="shared" si="12"/>
        <v>2430.4461960000003</v>
      </c>
      <c r="N26" s="20">
        <f t="shared" si="12"/>
        <v>2430.4461960000003</v>
      </c>
    </row>
    <row r="27" spans="1:14" ht="15">
      <c r="A27" s="27" t="s">
        <v>33</v>
      </c>
      <c r="B27" s="8" t="s">
        <v>36</v>
      </c>
      <c r="C27" s="9">
        <f>H_max-H1_th2</f>
        <v>1.1</v>
      </c>
      <c r="D27" s="8" t="s">
        <v>0</v>
      </c>
      <c r="F27" s="9">
        <f aca="true" t="shared" si="13" ref="F27:N27">F6-F25</f>
        <v>1.1</v>
      </c>
      <c r="G27" s="9">
        <f t="shared" si="13"/>
        <v>1.1</v>
      </c>
      <c r="H27" s="9">
        <f t="shared" si="13"/>
        <v>1.15</v>
      </c>
      <c r="I27" s="9">
        <f t="shared" si="13"/>
        <v>1.1</v>
      </c>
      <c r="J27" s="9">
        <f t="shared" si="13"/>
        <v>1.1</v>
      </c>
      <c r="K27" s="9">
        <f t="shared" si="13"/>
        <v>1.04575</v>
      </c>
      <c r="L27" s="9">
        <f t="shared" si="13"/>
        <v>1.1</v>
      </c>
      <c r="M27" s="9">
        <f t="shared" si="13"/>
        <v>0.6</v>
      </c>
      <c r="N27" s="9">
        <f t="shared" si="13"/>
        <v>0.35</v>
      </c>
    </row>
    <row r="28" spans="1:14" ht="15">
      <c r="A28" s="26"/>
      <c r="B28" s="8"/>
      <c r="C28" s="20">
        <f>dHt_th2*6076.11549</f>
        <v>6683.727039</v>
      </c>
      <c r="D28" s="4" t="s">
        <v>1</v>
      </c>
      <c r="F28" s="20">
        <f>F27*6076.11549</f>
        <v>6683.727039</v>
      </c>
      <c r="G28" s="20">
        <f aca="true" t="shared" si="14" ref="G28:N28">G27*6076.11549</f>
        <v>6683.727039</v>
      </c>
      <c r="H28" s="20">
        <f t="shared" si="14"/>
        <v>6987.5328135</v>
      </c>
      <c r="I28" s="20">
        <f t="shared" si="14"/>
        <v>6683.727039</v>
      </c>
      <c r="J28" s="20">
        <f t="shared" si="14"/>
        <v>6683.727039</v>
      </c>
      <c r="K28" s="20">
        <f t="shared" si="14"/>
        <v>6354.0977736674995</v>
      </c>
      <c r="L28" s="20">
        <f t="shared" si="14"/>
        <v>6683.727039</v>
      </c>
      <c r="M28" s="20">
        <f t="shared" si="14"/>
        <v>3645.669294</v>
      </c>
      <c r="N28" s="20">
        <f t="shared" si="14"/>
        <v>2126.6404215</v>
      </c>
    </row>
    <row r="29" spans="1:14" ht="15">
      <c r="A29" s="27" t="s">
        <v>35</v>
      </c>
      <c r="B29" s="8" t="s">
        <v>37</v>
      </c>
      <c r="C29" s="9">
        <f>dHt_th2-Tb*W_th2</f>
        <v>1</v>
      </c>
      <c r="D29" s="8" t="s">
        <v>0</v>
      </c>
      <c r="F29" s="9">
        <f aca="true" t="shared" si="15" ref="F29:N29">F27-F22*F14</f>
        <v>1</v>
      </c>
      <c r="G29" s="9">
        <f t="shared" si="15"/>
        <v>0.9800000000000001</v>
      </c>
      <c r="H29" s="9">
        <f t="shared" si="15"/>
        <v>0.9999999999999999</v>
      </c>
      <c r="I29" s="9">
        <f t="shared" si="15"/>
        <v>1.05</v>
      </c>
      <c r="J29" s="9">
        <f t="shared" si="15"/>
        <v>0.9500000000000001</v>
      </c>
      <c r="K29" s="9">
        <f t="shared" si="15"/>
        <v>0.9543437499999999</v>
      </c>
      <c r="L29" s="9">
        <f t="shared" si="15"/>
        <v>1</v>
      </c>
      <c r="M29" s="9">
        <f t="shared" si="15"/>
        <v>0.5</v>
      </c>
      <c r="N29" s="9">
        <f t="shared" si="15"/>
        <v>0.24999999999999997</v>
      </c>
    </row>
    <row r="30" spans="1:14" ht="15">
      <c r="A30" s="26"/>
      <c r="B30" s="8"/>
      <c r="C30" s="20">
        <f>dHe_th2*6076.11549</f>
        <v>6076.11549</v>
      </c>
      <c r="D30" s="4" t="s">
        <v>1</v>
      </c>
      <c r="F30" s="20">
        <f>F29*6076.11549</f>
        <v>6076.11549</v>
      </c>
      <c r="G30" s="20">
        <f aca="true" t="shared" si="16" ref="G30:N30">G29*6076.11549</f>
        <v>5954.5931802000005</v>
      </c>
      <c r="H30" s="20">
        <f t="shared" si="16"/>
        <v>6076.115489999999</v>
      </c>
      <c r="I30" s="20">
        <f t="shared" si="16"/>
        <v>6379.921264500001</v>
      </c>
      <c r="J30" s="20">
        <f t="shared" si="16"/>
        <v>5772.3097155000005</v>
      </c>
      <c r="K30" s="20">
        <f t="shared" si="16"/>
        <v>5798.702842159687</v>
      </c>
      <c r="L30" s="20">
        <f t="shared" si="16"/>
        <v>6076.11549</v>
      </c>
      <c r="M30" s="20">
        <f t="shared" si="16"/>
        <v>3038.057745</v>
      </c>
      <c r="N30" s="20">
        <f t="shared" si="16"/>
        <v>1519.0288724999998</v>
      </c>
    </row>
    <row r="31" spans="1:14" ht="15">
      <c r="A31" s="22" t="s">
        <v>40</v>
      </c>
      <c r="B31" s="11" t="s">
        <v>41</v>
      </c>
      <c r="C31" s="12">
        <f>dHe_th2/W_th2-dHe_th2/W_th1</f>
        <v>-0.1333333333333333</v>
      </c>
      <c r="D31" s="14" t="s">
        <v>3</v>
      </c>
      <c r="F31" s="12">
        <f aca="true" t="shared" si="17" ref="F31:N31">F29/F14-F29/F13</f>
        <v>-0.1333333333333333</v>
      </c>
      <c r="G31" s="12">
        <f t="shared" si="17"/>
        <v>-0.1306666666666667</v>
      </c>
      <c r="H31" s="12">
        <f t="shared" si="17"/>
        <v>-0.13333333333333333</v>
      </c>
      <c r="I31" s="12">
        <f t="shared" si="17"/>
        <v>-0.14</v>
      </c>
      <c r="J31" s="12">
        <f t="shared" si="17"/>
        <v>-0.1266666666666667</v>
      </c>
      <c r="K31" s="12">
        <f t="shared" si="17"/>
        <v>-0.12724583333333334</v>
      </c>
      <c r="L31" s="12">
        <f t="shared" si="17"/>
        <v>-0.08333333333333331</v>
      </c>
      <c r="M31" s="12">
        <f t="shared" si="17"/>
        <v>-0.06666666666666665</v>
      </c>
      <c r="N31" s="12">
        <f t="shared" si="17"/>
        <v>-0.03333333333333333</v>
      </c>
    </row>
    <row r="32" spans="1:14" ht="15">
      <c r="A32" s="23"/>
      <c r="B32" s="8"/>
      <c r="C32" s="7">
        <f>Tc*60</f>
        <v>-7.999999999999998</v>
      </c>
      <c r="D32" s="4" t="s">
        <v>4</v>
      </c>
      <c r="F32" s="7">
        <f>F31*60</f>
        <v>-7.999999999999998</v>
      </c>
      <c r="G32" s="7">
        <f aca="true" t="shared" si="18" ref="G32:N32">G31*60</f>
        <v>-7.8400000000000025</v>
      </c>
      <c r="H32" s="7">
        <f t="shared" si="18"/>
        <v>-8</v>
      </c>
      <c r="I32" s="7">
        <f t="shared" si="18"/>
        <v>-8.4</v>
      </c>
      <c r="J32" s="7">
        <f t="shared" si="18"/>
        <v>-7.600000000000002</v>
      </c>
      <c r="K32" s="7">
        <f t="shared" si="18"/>
        <v>-7.63475</v>
      </c>
      <c r="L32" s="7">
        <f t="shared" si="18"/>
        <v>-4.999999999999999</v>
      </c>
      <c r="M32" s="7">
        <f t="shared" si="18"/>
        <v>-3.999999999999999</v>
      </c>
      <c r="N32" s="7">
        <f t="shared" si="18"/>
        <v>-2</v>
      </c>
    </row>
    <row r="33" spans="1:14" ht="15">
      <c r="A33" s="22" t="s">
        <v>52</v>
      </c>
      <c r="B33" s="11" t="s">
        <v>42</v>
      </c>
      <c r="C33" s="12">
        <f>Ta+Tb+Tc</f>
        <v>-0.0633333333333333</v>
      </c>
      <c r="D33" s="11" t="s">
        <v>3</v>
      </c>
      <c r="F33" s="12">
        <f>F18+F22+F31</f>
        <v>-0.0633333333333333</v>
      </c>
      <c r="G33" s="12">
        <f aca="true" t="shared" si="19" ref="G33:N33">G18+G22+G31</f>
        <v>-0.04666666666666669</v>
      </c>
      <c r="H33" s="12">
        <f t="shared" si="19"/>
        <v>-0.028333333333333335</v>
      </c>
      <c r="I33" s="12">
        <f t="shared" si="19"/>
        <v>-0.10500000000000001</v>
      </c>
      <c r="J33" s="12">
        <f t="shared" si="19"/>
        <v>-0.02166666666666671</v>
      </c>
      <c r="K33" s="12">
        <f t="shared" si="19"/>
        <v>-0.06326145833333334</v>
      </c>
      <c r="L33" s="12">
        <f t="shared" si="19"/>
        <v>-0.008333333333333304</v>
      </c>
      <c r="M33" s="12">
        <f t="shared" si="19"/>
        <v>0.003333333333333355</v>
      </c>
      <c r="N33" s="12">
        <f t="shared" si="19"/>
        <v>0.036666666666666674</v>
      </c>
    </row>
    <row r="34" spans="1:14" ht="18.75">
      <c r="A34" s="24"/>
      <c r="B34" s="16"/>
      <c r="C34" s="21">
        <f>dT*60</f>
        <v>-3.799999999999998</v>
      </c>
      <c r="D34" s="17" t="s">
        <v>4</v>
      </c>
      <c r="F34" s="21">
        <f>F33*60</f>
        <v>-3.799999999999998</v>
      </c>
      <c r="G34" s="21">
        <f aca="true" t="shared" si="20" ref="G34:N34">G33*60</f>
        <v>-2.8000000000000016</v>
      </c>
      <c r="H34" s="21">
        <f t="shared" si="20"/>
        <v>-1.7000000000000002</v>
      </c>
      <c r="I34" s="21">
        <f t="shared" si="20"/>
        <v>-6.300000000000001</v>
      </c>
      <c r="J34" s="21">
        <f t="shared" si="20"/>
        <v>-1.3000000000000025</v>
      </c>
      <c r="K34" s="21">
        <f t="shared" si="20"/>
        <v>-3.7956875000000005</v>
      </c>
      <c r="L34" s="21">
        <f t="shared" si="20"/>
        <v>-0.4999999999999982</v>
      </c>
      <c r="M34" s="21">
        <f t="shared" si="20"/>
        <v>0.2000000000000013</v>
      </c>
      <c r="N34" s="21">
        <f t="shared" si="20"/>
        <v>2.2000000000000006</v>
      </c>
    </row>
  </sheetData>
  <sheetProtection/>
  <mergeCells count="11">
    <mergeCell ref="A31:A32"/>
    <mergeCell ref="A33:A34"/>
    <mergeCell ref="A4:A5"/>
    <mergeCell ref="A6:A7"/>
    <mergeCell ref="A18:A19"/>
    <mergeCell ref="A20:A21"/>
    <mergeCell ref="A22:A23"/>
    <mergeCell ref="A27:A28"/>
    <mergeCell ref="A29:A30"/>
    <mergeCell ref="A8:A9"/>
    <mergeCell ref="A24:A26"/>
  </mergeCells>
  <conditionalFormatting sqref="F4:N4 F6:N6 F10:N16">
    <cfRule type="expression" priority="8" dxfId="8">
      <formula>F4&lt;&gt;$C4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Course Deviation in Order to Find Stronger Lift (No Wind, Simple Example)</dc:title>
  <dc:subject/>
  <dc:creator>Branko Stojkovic</dc:creator>
  <cp:keywords/>
  <dc:description/>
  <cp:lastModifiedBy>Branko Stojkovic</cp:lastModifiedBy>
  <dcterms:created xsi:type="dcterms:W3CDTF">2011-12-17T06:55:59Z</dcterms:created>
  <dcterms:modified xsi:type="dcterms:W3CDTF">2011-12-27T21:32:48Z</dcterms:modified>
  <cp:category/>
  <cp:version/>
  <cp:contentType/>
  <cp:contentStatus/>
</cp:coreProperties>
</file>